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shboard" sheetId="1" r:id="rId4"/>
    <sheet state="visible" name="Inputs" sheetId="2" r:id="rId5"/>
    <sheet state="visible" name="TCO Calculation" sheetId="3" r:id="rId6"/>
    <sheet state="visible" name="vCAD Comparison" sheetId="4" r:id="rId7"/>
    <sheet state="visible" name="Assumptions" sheetId="5" r:id="rId8"/>
  </sheets>
  <definedNames/>
  <calcPr/>
  <extLst>
    <ext uri="GoogleSheetsCustomDataVersion2">
      <go:sheetsCustomData xmlns:go="http://customooxmlschemas.google.com/" r:id="rId9" roundtripDataChecksum="kjlgIegYQy6HVA5k5Ee4JNezpSWEzsnDLAHvMUk1OFY="/>
    </ext>
  </extLst>
</workbook>
</file>

<file path=xl/sharedStrings.xml><?xml version="1.0" encoding="utf-8"?>
<sst xmlns="http://schemas.openxmlformats.org/spreadsheetml/2006/main" count="369" uniqueCount="242">
  <si>
    <t>Engineering Computing TCO &amp; SPK vCAD ROI Calculator</t>
  </si>
  <si>
    <t>Use this dashboard to compare annualized workstation, lab, IT, security, downtime, and infrastructure costs against SPK vCAD.</t>
  </si>
  <si>
    <t>Metric</t>
  </si>
  <si>
    <t>Value</t>
  </si>
  <si>
    <t>Engineers</t>
  </si>
  <si>
    <t>Traditional Annual TCO</t>
  </si>
  <si>
    <t>vCAD Annual Cost</t>
  </si>
  <si>
    <t>Annual Cost / Engineer</t>
  </si>
  <si>
    <t>Monthly Cost / Engineer</t>
  </si>
  <si>
    <t>vCAD Monthly / Engineer</t>
  </si>
  <si>
    <t>Annual Savings</t>
  </si>
  <si>
    <t>3-Year Savings</t>
  </si>
  <si>
    <t>Payback (Months)</t>
  </si>
  <si>
    <t>ROI on vCAD</t>
  </si>
  <si>
    <t>CapEx Avoided</t>
  </si>
  <si>
    <t>Analysis Horizon</t>
  </si>
  <si>
    <t>years</t>
  </si>
  <si>
    <t>Cost Category</t>
  </si>
  <si>
    <t>Annual Cost</t>
  </si>
  <si>
    <t>% of Traditional TCO</t>
  </si>
  <si>
    <t>Scenario</t>
  </si>
  <si>
    <t>3-Year Cost</t>
  </si>
  <si>
    <t>Monthly / Engineer</t>
  </si>
  <si>
    <t>Hardware + Lifecycle</t>
  </si>
  <si>
    <t>Traditional Engineering</t>
  </si>
  <si>
    <t>IT Labor</t>
  </si>
  <si>
    <t>SPK vCAD</t>
  </si>
  <si>
    <t>Software</t>
  </si>
  <si>
    <t>Infrastructure</t>
  </si>
  <si>
    <t>Security &amp; Compliance</t>
  </si>
  <si>
    <t>Remote Workforce</t>
  </si>
  <si>
    <t>Downtime</t>
  </si>
  <si>
    <t>Procurement &amp; Asset Mgmt</t>
  </si>
  <si>
    <t>How to use: update yellow cells on the Inputs sheet. The model calculates traditional workstation/lab TCO, then compares it to an SPK vCAD scenario. Edit the vCAD assumptions near the bottom of Inputs to reflect a proposed solution.</t>
  </si>
  <si>
    <t>Engineering Computing TCO Inputs</t>
  </si>
  <si>
    <t>Edit yellow cells. All results on other sheets are formula-driven.</t>
  </si>
  <si>
    <t>Category</t>
  </si>
  <si>
    <t>Input</t>
  </si>
  <si>
    <t>Unit</t>
  </si>
  <si>
    <t>Notes</t>
  </si>
  <si>
    <t>General</t>
  </si>
  <si>
    <t>Number of engineers using high-performance workstations</t>
  </si>
  <si>
    <t>users</t>
  </si>
  <si>
    <t>Primary engineering user population</t>
  </si>
  <si>
    <t>Fully burdened engineering hourly rate</t>
  </si>
  <si>
    <t>$/hr</t>
  </si>
  <si>
    <t>Used to estimate productivity loss from downtime</t>
  </si>
  <si>
    <t>Analysis horizon</t>
  </si>
  <si>
    <t>Used for multi-year comparison</t>
  </si>
  <si>
    <t>Hardware Acquisition</t>
  </si>
  <si>
    <t>Workstations per engineer</t>
  </si>
  <si>
    <t>devices/user</t>
  </si>
  <si>
    <t>Engineering workstation unit cost</t>
  </si>
  <si>
    <t>$/device</t>
  </si>
  <si>
    <t>CPU/RAM/GPU base workstation</t>
  </si>
  <si>
    <t>High-end GPU upgrade per workstation</t>
  </si>
  <si>
    <t>Incremental cost for CAD/simulation capable GPU</t>
  </si>
  <si>
    <t>Monitors per engineer</t>
  </si>
  <si>
    <t>monitors/user</t>
  </si>
  <si>
    <t>Monitor unit cost</t>
  </si>
  <si>
    <t>$/monitor</t>
  </si>
  <si>
    <t>Docking/peripheral bundle per engineer</t>
  </si>
  <si>
    <t>$/user</t>
  </si>
  <si>
    <t>Docking station, keyboard, mouse, headset, etc.</t>
  </si>
  <si>
    <t>Test lab engineering workstations</t>
  </si>
  <si>
    <t>devices</t>
  </si>
  <si>
    <t>Shared lab/test workstations</t>
  </si>
  <si>
    <t>Test lab workstation unit cost</t>
  </si>
  <si>
    <t>Higher-performance devices used in labs</t>
  </si>
  <si>
    <t>Spare workstation rate</t>
  </si>
  <si>
    <t>% of fleet</t>
  </si>
  <si>
    <t>Used for break/fix and onboarding reserves</t>
  </si>
  <si>
    <t>Shipping/deployment cost per device</t>
  </si>
  <si>
    <t>Inbound/outbound shipping and handling</t>
  </si>
  <si>
    <t>Lifecycle &amp; Refresh</t>
  </si>
  <si>
    <t>Refresh cycle</t>
  </si>
  <si>
    <t>Typical workstation replacement cycle</t>
  </si>
  <si>
    <t>Residual value after refresh</t>
  </si>
  <si>
    <t>% of hardware</t>
  </si>
  <si>
    <t>Estimated resale/recovery value</t>
  </si>
  <si>
    <t>Annual warranty/support per workstation</t>
  </si>
  <si>
    <t>$/device/year</t>
  </si>
  <si>
    <t>OEM support/warranty</t>
  </si>
  <si>
    <t>Break/fix reserve</t>
  </si>
  <si>
    <t>% of hardware/year</t>
  </si>
  <si>
    <t>Parts, replacements, and incident reserves</t>
  </si>
  <si>
    <t>Procurement hours per device</t>
  </si>
  <si>
    <t>hrs/device</t>
  </si>
  <si>
    <t>Quote, order, receive, asset tag</t>
  </si>
  <si>
    <t>Imaging/configuration hours per device</t>
  </si>
  <si>
    <t>OS image, drivers, endpoint/security tools</t>
  </si>
  <si>
    <t>Deployment hours per device</t>
  </si>
  <si>
    <t>Desk setup or remote shipment prep</t>
  </si>
  <si>
    <t>Annual support hours per engineer</t>
  </si>
  <si>
    <t>hrs/user/year</t>
  </si>
  <si>
    <t>Helpdesk/desktop support</t>
  </si>
  <si>
    <t>Annual engineering desktop admin hours</t>
  </si>
  <si>
    <t>hrs/year</t>
  </si>
  <si>
    <t>Driver, image, license, and hardware administration</t>
  </si>
  <si>
    <t>IT labor hourly rate</t>
  </si>
  <si>
    <t>Fully burdened IT/admin rate</t>
  </si>
  <si>
    <t>Endpoint management cost</t>
  </si>
  <si>
    <t>$/user/year</t>
  </si>
  <si>
    <t>Intune/SCCM/RMM/MDM equivalent</t>
  </si>
  <si>
    <t>EDR/antivirus cost</t>
  </si>
  <si>
    <t>Endpoint security</t>
  </si>
  <si>
    <t>Backup/sync cost</t>
  </si>
  <si>
    <t>Device/user backup and sync</t>
  </si>
  <si>
    <t>Remote access/VPN cost</t>
  </si>
  <si>
    <t>VPN, remote support, access tooling</t>
  </si>
  <si>
    <t>Monitoring/asset management cost</t>
  </si>
  <si>
    <t>Inventory/monitoring tools</t>
  </si>
  <si>
    <t>File/storage infrastructure capex</t>
  </si>
  <si>
    <t>$</t>
  </si>
  <si>
    <t>NAS/SAN/server investment supporting engineering data</t>
  </si>
  <si>
    <t>Infrastructure refresh cycle</t>
  </si>
  <si>
    <t>Storage/server lifecycle</t>
  </si>
  <si>
    <t>Annual infrastructure support contracts</t>
  </si>
  <si>
    <t>$/year</t>
  </si>
  <si>
    <t>Hardware/software maintenance</t>
  </si>
  <si>
    <t>Annual cloud/file storage subscriptions</t>
  </si>
  <si>
    <t>Cloud storage, replication, backup subscriptions</t>
  </si>
  <si>
    <t>Average workstation power draw</t>
  </si>
  <si>
    <t>watts</t>
  </si>
  <si>
    <t>Average active power</t>
  </si>
  <si>
    <t>Workstation hours used per year</t>
  </si>
  <si>
    <t>Approx. work hours</t>
  </si>
  <si>
    <t>Electricity cost</t>
  </si>
  <si>
    <t>$/kWh</t>
  </si>
  <si>
    <t>Power cost</t>
  </si>
  <si>
    <t>Annual compliance/security admin hours</t>
  </si>
  <si>
    <t>Patch audits, vulnerability remediation, evidence</t>
  </si>
  <si>
    <t>Annual compliance tools cost</t>
  </si>
  <si>
    <t>DLP, encryption, audit tools, etc.</t>
  </si>
  <si>
    <t>Remote shipping/replacement events per year</t>
  </si>
  <si>
    <t>events/year</t>
  </si>
  <si>
    <t>Remote employee swaps/replacements</t>
  </si>
  <si>
    <t>Average remote shipping cost</t>
  </si>
  <si>
    <t>$/event</t>
  </si>
  <si>
    <t>Remote support hours per event</t>
  </si>
  <si>
    <t>hrs/event</t>
  </si>
  <si>
    <t>Workstation failure/disruption events per engineer per year</t>
  </si>
  <si>
    <t>events/user/year</t>
  </si>
  <si>
    <t>Hardware/driver/performance-impacting incidents</t>
  </si>
  <si>
    <t>Average lost engineering hours per event</t>
  </si>
  <si>
    <t>Waiting, troubleshooting, rework</t>
  </si>
  <si>
    <t>Lab workstation downtime events per year</t>
  </si>
  <si>
    <t>Average engineers impacted by lab downtime</t>
  </si>
  <si>
    <t>engineers/event</t>
  </si>
  <si>
    <t>Average hours lost per lab event</t>
  </si>
  <si>
    <t>Procurement &amp; Asset Management</t>
  </si>
  <si>
    <t>Annual asset management hours</t>
  </si>
  <si>
    <t>Inventory, lifecycle, returns, disposal</t>
  </si>
  <si>
    <t>eWaste/disposal cost per retired device</t>
  </si>
  <si>
    <t>Annualized by refresh cycle</t>
  </si>
  <si>
    <t>vCAD monthly platform cost per engineer</t>
  </si>
  <si>
    <t>$/user/month</t>
  </si>
  <si>
    <t>Editable estimate</t>
  </si>
  <si>
    <t>vCAD compute hourly rate</t>
  </si>
  <si>
    <t>vCAD average compute hours per engineer per month</t>
  </si>
  <si>
    <t>hrs/user/month</t>
  </si>
  <si>
    <t>vCAD storage/security/admin monthly cost</t>
  </si>
  <si>
    <t>vCAD implementation/onboarding one-time cost</t>
  </si>
  <si>
    <t>Annualized by analysis horizon</t>
  </si>
  <si>
    <t>Residual local endpoint annual cost per engineer</t>
  </si>
  <si>
    <t>Thin client/laptop/accessory residual assumption</t>
  </si>
  <si>
    <t>Traditional Engineering Computing Total Cost of Ownership</t>
  </si>
  <si>
    <t>Formula / Line Item</t>
  </si>
  <si>
    <t>Base engineering workstations</t>
  </si>
  <si>
    <t>Annualized by refresh cycle net of residual value</t>
  </si>
  <si>
    <t>Monitors and peripherals</t>
  </si>
  <si>
    <t>Test lab workstations</t>
  </si>
  <si>
    <t>Spare workstation pool</t>
  </si>
  <si>
    <t>Shipping/deployment annualized</t>
  </si>
  <si>
    <t>Warranty/support contracts</t>
  </si>
  <si>
    <t>Procurement, imaging, and deployment labor annualized</t>
  </si>
  <si>
    <t>Setup lifecycle labor annualized by refresh cycle</t>
  </si>
  <si>
    <t>Annual user support labor</t>
  </si>
  <si>
    <t>Engineering desktop administration</t>
  </si>
  <si>
    <t>Endpoint management</t>
  </si>
  <si>
    <t>EDR / antivirus</t>
  </si>
  <si>
    <t>Backup / sync</t>
  </si>
  <si>
    <t>Remote access / VPN</t>
  </si>
  <si>
    <t>Monitoring / asset management tooling</t>
  </si>
  <si>
    <t>Annualized file/storage infrastructure</t>
  </si>
  <si>
    <t>Infrastructure support contracts</t>
  </si>
  <si>
    <t>Cloud/file storage subscriptions</t>
  </si>
  <si>
    <t>Workstation power consumption</t>
  </si>
  <si>
    <t>Watts ÷ 1000 × hours × electricity rate</t>
  </si>
  <si>
    <t>Compliance/security administration</t>
  </si>
  <si>
    <t>Compliance/security tools</t>
  </si>
  <si>
    <t>Remote shipping and support</t>
  </si>
  <si>
    <t>Engineering workstation downtime</t>
  </si>
  <si>
    <t>Users × events × lost hours × engineer rate</t>
  </si>
  <si>
    <t>Test lab downtime impact</t>
  </si>
  <si>
    <t>Annual asset management labor</t>
  </si>
  <si>
    <t>eWaste/disposal annualized</t>
  </si>
  <si>
    <t>TOTAL</t>
  </si>
  <si>
    <t>Total Traditional Annual TCO</t>
  </si>
  <si>
    <t>Total annual cost, multi-year cost, and monthly cost per engineer</t>
  </si>
  <si>
    <t>SPK vCAD Comparison &amp; ROI</t>
  </si>
  <si>
    <t>Annual Difference</t>
  </si>
  <si>
    <t>3-Year Difference</t>
  </si>
  <si>
    <t>Positive difference means estimated savings with vCAD</t>
  </si>
  <si>
    <t>Monthly Cost per Engineer</t>
  </si>
  <si>
    <t>Estimated Annual Savings</t>
  </si>
  <si>
    <t>Same as annual difference</t>
  </si>
  <si>
    <t>Estimated 3-Year Savings</t>
  </si>
  <si>
    <t>ROI on vCAD Investment</t>
  </si>
  <si>
    <t>Annual savings divided by annual vCAD cost</t>
  </si>
  <si>
    <t>Payback Period</t>
  </si>
  <si>
    <t>Months to recover implementation/onboarding cost</t>
  </si>
  <si>
    <t>Upfront hardware that could be avoided or reduced</t>
  </si>
  <si>
    <t>Model Notes &amp; Formula Definitions</t>
  </si>
  <si>
    <t>Area</t>
  </si>
  <si>
    <t>Purpose</t>
  </si>
  <si>
    <t>Formula Concept</t>
  </si>
  <si>
    <t>Hardware Annualization</t>
  </si>
  <si>
    <t>Normalize workstation purchases across refresh cycle</t>
  </si>
  <si>
    <t>(Purchase Cost × (1 - Residual Value)) ÷ Refresh Cycle</t>
  </si>
  <si>
    <t>Separates capital purchase from annualized operating comparison.</t>
  </si>
  <si>
    <t>Capture hidden support and administration costs</t>
  </si>
  <si>
    <t>(Setup Hours + Procurement Hours + Deployment Hours) × Devices × IT Rate</t>
  </si>
  <si>
    <t>Annualized by refresh cycle for lifecycle setup work.</t>
  </si>
  <si>
    <t>Quantify productivity lost due to failures/disruptions</t>
  </si>
  <si>
    <t>Users × Events/User × Hours Lost × Engineering Hourly Rate</t>
  </si>
  <si>
    <t>Often one of the most undercounted engineering computing costs.</t>
  </si>
  <si>
    <t>Power</t>
  </si>
  <si>
    <t>Estimate electricity for workstations/lab devices</t>
  </si>
  <si>
    <t>Watts ÷ 1000 × Hours × Electricity Rate</t>
  </si>
  <si>
    <t>Does not include cooling multiplier unless added in Inputs.</t>
  </si>
  <si>
    <t>Estimate cloud engineering desktop run-rate</t>
  </si>
  <si>
    <t>Users × ((Monthly Platform + Storage/Admin) × 12 + Compute Rate × Monthly Hours × 12 + Residual Endpoint Cost)</t>
  </si>
  <si>
    <t>Implementation cost is annualized over analysis horizon.</t>
  </si>
  <si>
    <t>ROI</t>
  </si>
  <si>
    <t>Compare savings to vCAD investment</t>
  </si>
  <si>
    <t>Annual Savings ÷ Annual vCAD Cost</t>
  </si>
  <si>
    <t>Use as directional ROI estimate, not a final quote.</t>
  </si>
  <si>
    <t>Payback</t>
  </si>
  <si>
    <t>Estimate months to recover implementation cost</t>
  </si>
  <si>
    <t>(Implementation Cost ÷ Annual Savings) × 12</t>
  </si>
  <si>
    <t>Only meaningful when annual savings are positive.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</si>
</sst>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\$#,##0"/>
    <numFmt numFmtId="165" formatCode="0.0"/>
    <numFmt numFmtId="166" formatCode="\$0"/>
    <numFmt numFmtId="167" formatCode="\$0.00"/>
  </numFmts>
  <fonts count="8">
    <font>
      <sz val="11.0"/>
      <color rgb="FF000000"/>
      <name val="Carlito"/>
      <scheme val="minor"/>
    </font>
    <font>
      <b/>
      <sz val="18.0"/>
      <color rgb="FFFFFFFF"/>
      <name val="Carlito"/>
    </font>
    <font/>
    <font>
      <sz val="11.0"/>
      <color theme="1"/>
      <name val="Carlito"/>
    </font>
    <font>
      <i/>
      <sz val="11.0"/>
      <color rgb="FF1D472D"/>
      <name val="Carlito"/>
    </font>
    <font>
      <b/>
      <sz val="11.0"/>
      <color rgb="FFFFFFFF"/>
      <name val="Carlito"/>
    </font>
    <font>
      <sz val="11.0"/>
      <color rgb="FF000000"/>
      <name val="Carlito"/>
    </font>
    <font>
      <b/>
      <sz val="16.0"/>
      <color rgb="FFFFFFFF"/>
      <name val="Carlito"/>
    </font>
  </fonts>
  <fills count="8">
    <fill>
      <patternFill patternType="none"/>
    </fill>
    <fill>
      <patternFill patternType="lightGray"/>
    </fill>
    <fill>
      <patternFill patternType="solid">
        <fgColor rgb="FF1D472D"/>
        <bgColor rgb="FF1D472D"/>
      </patternFill>
    </fill>
    <fill>
      <patternFill patternType="solid">
        <fgColor rgb="FFCAE7D4"/>
        <bgColor rgb="FFCAE7D4"/>
      </patternFill>
    </fill>
    <fill>
      <patternFill patternType="solid">
        <fgColor rgb="FF508864"/>
        <bgColor rgb="FF508864"/>
      </patternFill>
    </fill>
    <fill>
      <patternFill patternType="solid">
        <fgColor rgb="FFF3F6F4"/>
        <bgColor rgb="FFF3F6F4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</fills>
  <borders count="13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top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vertical="top"/>
    </xf>
    <xf borderId="1" fillId="3" fontId="4" numFmtId="0" xfId="0" applyAlignment="1" applyBorder="1" applyFill="1" applyFont="1">
      <alignment vertical="top"/>
    </xf>
    <xf borderId="4" fillId="4" fontId="5" numFmtId="0" xfId="0" applyAlignment="1" applyBorder="1" applyFill="1" applyFont="1">
      <alignment horizontal="center" shrinkToFit="0" vertical="top" wrapText="1"/>
    </xf>
    <xf borderId="4" fillId="5" fontId="6" numFmtId="0" xfId="0" applyAlignment="1" applyBorder="1" applyFill="1" applyFont="1">
      <alignment vertical="top"/>
    </xf>
    <xf borderId="4" fillId="5" fontId="6" numFmtId="1" xfId="0" applyAlignment="1" applyBorder="1" applyFont="1" applyNumberFormat="1">
      <alignment vertical="top"/>
    </xf>
    <xf borderId="4" fillId="5" fontId="6" numFmtId="164" xfId="0" applyAlignment="1" applyBorder="1" applyFont="1" applyNumberFormat="1">
      <alignment vertical="top"/>
    </xf>
    <xf borderId="4" fillId="5" fontId="6" numFmtId="165" xfId="0" applyAlignment="1" applyBorder="1" applyFont="1" applyNumberFormat="1">
      <alignment vertical="top"/>
    </xf>
    <xf borderId="4" fillId="5" fontId="6" numFmtId="9" xfId="0" applyAlignment="1" applyBorder="1" applyFont="1" applyNumberFormat="1">
      <alignment vertical="top"/>
    </xf>
    <xf borderId="0" fillId="0" fontId="3" numFmtId="0" xfId="0" applyAlignment="1" applyFont="1">
      <alignment shrinkToFit="0" vertical="top" wrapText="1"/>
    </xf>
    <xf borderId="0" fillId="0" fontId="3" numFmtId="164" xfId="0" applyAlignment="1" applyFont="1" applyNumberFormat="1">
      <alignment shrinkToFit="0" vertical="top" wrapText="1"/>
    </xf>
    <xf borderId="0" fillId="0" fontId="3" numFmtId="9" xfId="0" applyAlignment="1" applyFont="1" applyNumberFormat="1">
      <alignment shrinkToFit="0" vertical="top" wrapText="1"/>
    </xf>
    <xf borderId="0" fillId="0" fontId="3" numFmtId="164" xfId="0" applyAlignment="1" applyFont="1" applyNumberFormat="1">
      <alignment vertical="top"/>
    </xf>
    <xf borderId="5" fillId="6" fontId="4" numFmtId="0" xfId="0" applyAlignment="1" applyBorder="1" applyFill="1" applyFont="1">
      <alignment shrinkToFit="0" vertical="top" wrapText="1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1" fillId="2" fontId="7" numFmtId="0" xfId="0" applyAlignment="1" applyBorder="1" applyFont="1">
      <alignment horizontal="center" vertical="top"/>
    </xf>
    <xf borderId="4" fillId="6" fontId="3" numFmtId="1" xfId="0" applyAlignment="1" applyBorder="1" applyFont="1" applyNumberFormat="1">
      <alignment shrinkToFit="0" vertical="top" wrapText="1"/>
    </xf>
    <xf borderId="4" fillId="6" fontId="3" numFmtId="166" xfId="0" applyAlignment="1" applyBorder="1" applyFont="1" applyNumberFormat="1">
      <alignment shrinkToFit="0" vertical="top" wrapText="1"/>
    </xf>
    <xf borderId="4" fillId="6" fontId="3" numFmtId="2" xfId="0" applyAlignment="1" applyBorder="1" applyFont="1" applyNumberFormat="1">
      <alignment shrinkToFit="0" vertical="top" wrapText="1"/>
    </xf>
    <xf borderId="4" fillId="6" fontId="3" numFmtId="164" xfId="0" applyAlignment="1" applyBorder="1" applyFont="1" applyNumberFormat="1">
      <alignment shrinkToFit="0" vertical="top" wrapText="1"/>
    </xf>
    <xf borderId="4" fillId="6" fontId="3" numFmtId="9" xfId="0" applyAlignment="1" applyBorder="1" applyFont="1" applyNumberFormat="1">
      <alignment shrinkToFit="0" vertical="top" wrapText="1"/>
    </xf>
    <xf borderId="4" fillId="6" fontId="3" numFmtId="1" xfId="0" applyAlignment="1" applyBorder="1" applyFont="1" applyNumberFormat="1">
      <alignment readingOrder="0" shrinkToFit="0" vertical="top" wrapText="1"/>
    </xf>
    <xf borderId="4" fillId="6" fontId="3" numFmtId="167" xfId="0" applyAlignment="1" applyBorder="1" applyFont="1" applyNumberFormat="1">
      <alignment shrinkToFit="0" vertical="top" wrapText="1"/>
    </xf>
    <xf borderId="4" fillId="7" fontId="5" numFmtId="0" xfId="0" applyAlignment="1" applyBorder="1" applyFill="1" applyFont="1">
      <alignment shrinkToFit="0" vertical="top" wrapText="1"/>
    </xf>
    <xf borderId="4" fillId="7" fontId="5" numFmtId="164" xfId="0" applyAlignment="1" applyBorder="1" applyFont="1" applyNumberFormat="1">
      <alignment shrinkToFit="0" vertical="top" wrapText="1"/>
    </xf>
    <xf borderId="0" fillId="0" fontId="3" numFmtId="165" xfId="0" applyAlignment="1" applyFont="1" applyNumberFormat="1">
      <alignment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Annual Cost by Category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Annual Cost</c:v>
          </c:tx>
          <c:spPr>
            <a:solidFill>
              <a:schemeClr val="accent1"/>
            </a:solidFill>
            <a:ln cmpd="sng">
              <a:noFill/>
            </a:ln>
          </c:spPr>
          <c:cat>
            <c:strRef>
              <c:f>Dashboard!$A$12:$A$19</c:f>
            </c:strRef>
          </c:cat>
          <c:val>
            <c:numRef>
              <c:f>Dashboard!$B$12:$B$19</c:f>
              <c:numCache/>
            </c:numRef>
          </c:val>
        </c:ser>
        <c:axId val="1334221687"/>
        <c:axId val="903081443"/>
      </c:barChart>
      <c:catAx>
        <c:axId val="13342216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>
          <a:ln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03081443"/>
      </c:catAx>
      <c:valAx>
        <c:axId val="90308144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334221687"/>
      </c:valAx>
    </c:plotArea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Traditional vs. SPK vCAD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Annual Cost</c:v>
          </c:tx>
          <c:spPr>
            <a:solidFill>
              <a:schemeClr val="accent1"/>
            </a:solidFill>
            <a:ln cmpd="sng">
              <a:noFill/>
            </a:ln>
          </c:spPr>
          <c:cat>
            <c:strRef>
              <c:f>Dashboard!$E$12:$E$13</c:f>
            </c:strRef>
          </c:cat>
          <c:val>
            <c:numRef>
              <c:f>Dashboard!$F$12:$F$13</c:f>
              <c:numCache/>
            </c:numRef>
          </c:val>
        </c:ser>
        <c:ser>
          <c:idx val="1"/>
          <c:order val="1"/>
          <c:tx>
            <c:v>3-Year Cost</c:v>
          </c:tx>
          <c:spPr>
            <a:solidFill>
              <a:schemeClr val="accent2"/>
            </a:solidFill>
            <a:ln cmpd="sng">
              <a:noFill/>
            </a:ln>
          </c:spPr>
          <c:cat>
            <c:strRef>
              <c:f>Dashboard!$E$12:$E$13</c:f>
            </c:strRef>
          </c:cat>
          <c:val>
            <c:numRef>
              <c:f>Dashboard!$G$12:$G$13</c:f>
              <c:numCache/>
            </c:numRef>
          </c:val>
        </c:ser>
        <c:axId val="415547701"/>
        <c:axId val="112445737"/>
      </c:barChart>
      <c:catAx>
        <c:axId val="4155477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>
          <a:ln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2445737"/>
      </c:catAx>
      <c:valAx>
        <c:axId val="11244573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15547701"/>
      </c:valAx>
    </c:plotArea>
    <c:legend>
      <c:legendPos val="b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0</xdr:colOff>
      <xdr:row>26</xdr:row>
      <xdr:rowOff>0</xdr:rowOff>
    </xdr:from>
    <xdr:ext cx="5791200" cy="3076575"/>
    <xdr:graphicFrame>
      <xdr:nvGraphicFramePr>
        <xdr:cNvPr id="413222042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0</xdr:colOff>
      <xdr:row>26</xdr:row>
      <xdr:rowOff>0</xdr:rowOff>
    </xdr:from>
    <xdr:ext cx="6248400" cy="2895600"/>
    <xdr:graphicFrame>
      <xdr:nvGraphicFramePr>
        <xdr:cNvPr id="194487155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Carlito"/>
        <a:ea typeface="Carlito"/>
        <a:cs typeface="Carlito"/>
      </a:majorFont>
      <a:minorFont>
        <a:latin typeface="Carlito"/>
        <a:ea typeface="Carlito"/>
        <a:cs typeface="Carlit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6.0"/>
    <col customWidth="1" min="2" max="2" width="16.0"/>
    <col customWidth="1" min="3" max="3" width="14.0"/>
    <col customWidth="1" min="4" max="4" width="26.0"/>
    <col customWidth="1" min="5" max="5" width="16.0"/>
    <col customWidth="1" min="6" max="6" width="9.88"/>
    <col customWidth="1" min="7" max="7" width="26.0"/>
    <col customWidth="1" min="8" max="8" width="16.0"/>
    <col customWidth="1" min="9" max="9" width="10.0"/>
    <col customWidth="1" min="10" max="10" width="4.0"/>
    <col customWidth="1" min="11" max="26" width="8.63"/>
  </cols>
  <sheetData>
    <row r="1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4.25" customHeight="1">
      <c r="A2" s="5" t="s">
        <v>1</v>
      </c>
      <c r="B2" s="2"/>
      <c r="C2" s="2"/>
      <c r="D2" s="2"/>
      <c r="E2" s="2"/>
      <c r="F2" s="2"/>
      <c r="G2" s="2"/>
      <c r="H2" s="2"/>
      <c r="I2" s="2"/>
      <c r="J2" s="3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4.2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4.25" customHeight="1">
      <c r="A4" s="6" t="s">
        <v>2</v>
      </c>
      <c r="B4" s="6" t="s">
        <v>3</v>
      </c>
      <c r="C4" s="6"/>
      <c r="D4" s="6" t="s">
        <v>2</v>
      </c>
      <c r="E4" s="6" t="s">
        <v>3</v>
      </c>
      <c r="F4" s="6"/>
      <c r="G4" s="6" t="s">
        <v>2</v>
      </c>
      <c r="H4" s="6" t="s">
        <v>3</v>
      </c>
      <c r="I4" s="6"/>
      <c r="J4" s="6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4.25" customHeight="1">
      <c r="A5" s="7" t="s">
        <v>4</v>
      </c>
      <c r="B5" s="8">
        <f>Inputs!C5</f>
        <v>50</v>
      </c>
      <c r="C5" s="7"/>
      <c r="D5" s="7" t="s">
        <v>5</v>
      </c>
      <c r="E5" s="9">
        <f>'TCO Calculation'!C30</f>
        <v>363147</v>
      </c>
      <c r="F5" s="7"/>
      <c r="G5" s="7" t="s">
        <v>6</v>
      </c>
      <c r="H5" s="9">
        <f>'vCAD Comparison'!C4</f>
        <v>278000</v>
      </c>
      <c r="I5" s="7"/>
      <c r="J5" s="7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>
      <c r="A6" s="7" t="s">
        <v>7</v>
      </c>
      <c r="B6" s="9">
        <f>'TCO Calculation'!C30/Inputs!C5</f>
        <v>7262.94</v>
      </c>
      <c r="C6" s="7"/>
      <c r="D6" s="7" t="s">
        <v>8</v>
      </c>
      <c r="E6" s="9">
        <f>'TCO Calculation'!E30</f>
        <v>605.245</v>
      </c>
      <c r="F6" s="7"/>
      <c r="G6" s="7" t="s">
        <v>9</v>
      </c>
      <c r="H6" s="9">
        <f>'vCAD Comparison'!C5</f>
        <v>463.3333333</v>
      </c>
      <c r="I6" s="7"/>
      <c r="J6" s="7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4.25" customHeight="1">
      <c r="A7" s="7" t="s">
        <v>10</v>
      </c>
      <c r="B7" s="9">
        <f>'vCAD Comparison'!D4</f>
        <v>85147</v>
      </c>
      <c r="C7" s="7"/>
      <c r="D7" s="7" t="s">
        <v>11</v>
      </c>
      <c r="E7" s="9">
        <f>'vCAD Comparison'!E4</f>
        <v>255441</v>
      </c>
      <c r="F7" s="7"/>
      <c r="G7" s="7" t="s">
        <v>12</v>
      </c>
      <c r="H7" s="10">
        <f>'vCAD Comparison'!C10</f>
        <v>2.113991098</v>
      </c>
      <c r="I7" s="7"/>
      <c r="J7" s="7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4.25" customHeight="1">
      <c r="A8" s="7" t="s">
        <v>13</v>
      </c>
      <c r="B8" s="11">
        <f>'vCAD Comparison'!C9</f>
        <v>0.3062841727</v>
      </c>
      <c r="C8" s="7"/>
      <c r="D8" s="7" t="s">
        <v>14</v>
      </c>
      <c r="E8" s="9">
        <f>'vCAD Comparison'!D11</f>
        <v>439500</v>
      </c>
      <c r="F8" s="7"/>
      <c r="G8" s="7" t="s">
        <v>15</v>
      </c>
      <c r="H8" s="8">
        <f>Inputs!C7</f>
        <v>3</v>
      </c>
      <c r="I8" s="7" t="s">
        <v>16</v>
      </c>
      <c r="J8" s="7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4.2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4.2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4.25" customHeight="1">
      <c r="A11" s="6" t="s">
        <v>17</v>
      </c>
      <c r="B11" s="6" t="s">
        <v>18</v>
      </c>
      <c r="C11" s="6" t="s">
        <v>19</v>
      </c>
      <c r="D11" s="4"/>
      <c r="E11" s="6" t="s">
        <v>20</v>
      </c>
      <c r="F11" s="6" t="s">
        <v>18</v>
      </c>
      <c r="G11" s="6" t="s">
        <v>21</v>
      </c>
      <c r="H11" s="6" t="s">
        <v>22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4.25" customHeight="1">
      <c r="A12" s="12" t="s">
        <v>23</v>
      </c>
      <c r="B12" s="13">
        <f>SUM('TCO Calculation'!C4:C10)</f>
        <v>179025</v>
      </c>
      <c r="C12" s="14">
        <f>B12/'TCO Calculation'!C30</f>
        <v>0.4929821808</v>
      </c>
      <c r="D12" s="4"/>
      <c r="E12" s="4" t="s">
        <v>24</v>
      </c>
      <c r="F12" s="15">
        <f>'TCO Calculation'!C30</f>
        <v>363147</v>
      </c>
      <c r="G12" s="15">
        <f>'TCO Calculation'!D30</f>
        <v>1089441</v>
      </c>
      <c r="H12" s="15">
        <f>'TCO Calculation'!E30</f>
        <v>605.245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4.25" customHeight="1">
      <c r="A13" s="12" t="s">
        <v>25</v>
      </c>
      <c r="B13" s="13">
        <f>SUM('TCO Calculation'!C11:C13)</f>
        <v>74693.75</v>
      </c>
      <c r="C13" s="14">
        <f>B13/'TCO Calculation'!C30</f>
        <v>0.2056846126</v>
      </c>
      <c r="D13" s="4"/>
      <c r="E13" s="4" t="s">
        <v>26</v>
      </c>
      <c r="F13" s="15">
        <f>'vCAD Comparison'!C4</f>
        <v>278000</v>
      </c>
      <c r="G13" s="15">
        <f>'vCAD Comparison'!C6</f>
        <v>834000</v>
      </c>
      <c r="H13" s="15">
        <f>'vCAD Comparison'!C5</f>
        <v>463.3333333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4.25" customHeight="1">
      <c r="A14" s="12" t="s">
        <v>27</v>
      </c>
      <c r="B14" s="13">
        <f>SUM('TCO Calculation'!C14:C18)</f>
        <v>22380</v>
      </c>
      <c r="C14" s="14">
        <f>B14/'TCO Calculation'!C30</f>
        <v>0.06162793579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4.25" customHeight="1">
      <c r="A15" s="12" t="s">
        <v>28</v>
      </c>
      <c r="B15" s="13">
        <f>SUM('TCO Calculation'!C19:C22)</f>
        <v>37872</v>
      </c>
      <c r="C15" s="14">
        <f>B15/'TCO Calculation'!C30</f>
        <v>0.104288346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4.25" customHeight="1">
      <c r="A16" s="12" t="s">
        <v>29</v>
      </c>
      <c r="B16" s="13">
        <f>SUM('TCO Calculation'!C23:C24)</f>
        <v>22800</v>
      </c>
      <c r="C16" s="14">
        <f>B16/'TCO Calculation'!C30</f>
        <v>0.06278449223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4.25" customHeight="1">
      <c r="A17" s="12" t="s">
        <v>30</v>
      </c>
      <c r="B17" s="13">
        <f>'TCO Calculation'!C25</f>
        <v>4537.5</v>
      </c>
      <c r="C17" s="14">
        <f>B17/'TCO Calculation'!C30</f>
        <v>0.01249494007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4.25" customHeight="1">
      <c r="A18" s="12" t="s">
        <v>31</v>
      </c>
      <c r="B18" s="13">
        <f>SUM('TCO Calculation'!C26:C27)</f>
        <v>10378.75</v>
      </c>
      <c r="C18" s="14">
        <f>B18/'TCO Calculation'!C30</f>
        <v>0.02858002407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4.25" customHeight="1">
      <c r="A19" s="12" t="s">
        <v>32</v>
      </c>
      <c r="B19" s="13">
        <f>SUM('TCO Calculation'!C28:C29)</f>
        <v>11460</v>
      </c>
      <c r="C19" s="14">
        <f>B19/'TCO Calculation'!C30</f>
        <v>0.03155746846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4.2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4.2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4.25" customHeight="1">
      <c r="A22" s="16" t="s">
        <v>33</v>
      </c>
      <c r="B22" s="17"/>
      <c r="C22" s="17"/>
      <c r="D22" s="17"/>
      <c r="E22" s="17"/>
      <c r="F22" s="17"/>
      <c r="G22" s="17"/>
      <c r="H22" s="17"/>
      <c r="I22" s="17"/>
      <c r="J22" s="18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4.25" customHeight="1">
      <c r="A23" s="19"/>
      <c r="J23" s="20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4.25" customHeight="1">
      <c r="A24" s="19"/>
      <c r="J24" s="20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4.25" customHeight="1">
      <c r="A25" s="21"/>
      <c r="B25" s="22"/>
      <c r="C25" s="22"/>
      <c r="D25" s="22"/>
      <c r="E25" s="22"/>
      <c r="F25" s="22"/>
      <c r="G25" s="22"/>
      <c r="H25" s="22"/>
      <c r="I25" s="22"/>
      <c r="J25" s="23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4.2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4.2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4.2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4.2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4.2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4.2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4.2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4.2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4.2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4.2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4.2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4.2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4.2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4.2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4.2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4.2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4.2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4.2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4.2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4.2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4.2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4.2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4.2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4.2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4.2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4.2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4.2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4.2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4.2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4.2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4.2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4.2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4.2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4.2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4.2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4.2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4.2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4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4.2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4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4.2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4.2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4.2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4.2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4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4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4.2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4.2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4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4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4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4.2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4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4.2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4.2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4.2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4.2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4.2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4.2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4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4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4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4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4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4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4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4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4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4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4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4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4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4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4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4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4.2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4.2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4.2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4.2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4.2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4.2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4.2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4.2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4.2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4.2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4.2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4.2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4.2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4.2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4.2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4.2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4.2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4.2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4.2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4.2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4.2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4.2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4.2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4.2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4.2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4.2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4.2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4.2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4.2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4.2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4.2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4.2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4.2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4.2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4.2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4.2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4.2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4.2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4.2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4.2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4.2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4.2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4.2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4.2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4.2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4.2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4.2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4.2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4.2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4.2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4.2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4.2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4.2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4.2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4.2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4.2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4.2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4.2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4.2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4.2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4.2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4.2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4.2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4.2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4.2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4.2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4.2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4.2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4.2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4.2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4.2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4.2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4.2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4.2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4.2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4.2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4.2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4.2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4.2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4.2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4.2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4.2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4.2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4.2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4.2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4.2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4.2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4.2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4.2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4.2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4.2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4.2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4.2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4.2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4.2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4.2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4.2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4.2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4.2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4.2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J1"/>
    <mergeCell ref="A2:J2"/>
    <mergeCell ref="A22:J25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4.0"/>
    <col customWidth="1" min="2" max="2" width="48.0"/>
    <col customWidth="1" min="3" max="3" width="16.0"/>
    <col customWidth="1" min="4" max="4" width="20.0"/>
    <col customWidth="1" min="5" max="5" width="48.0"/>
    <col customWidth="1" min="6" max="26" width="8.63"/>
  </cols>
  <sheetData>
    <row r="1" ht="14.25" customHeight="1">
      <c r="A1" s="24" t="s">
        <v>34</v>
      </c>
      <c r="B1" s="2"/>
      <c r="C1" s="2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4.25" customHeight="1">
      <c r="A2" s="5" t="s">
        <v>35</v>
      </c>
      <c r="B2" s="2"/>
      <c r="C2" s="2"/>
      <c r="D2" s="2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4.2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4.25" customHeight="1">
      <c r="A4" s="6" t="s">
        <v>36</v>
      </c>
      <c r="B4" s="6" t="s">
        <v>37</v>
      </c>
      <c r="C4" s="6" t="s">
        <v>3</v>
      </c>
      <c r="D4" s="6" t="s">
        <v>38</v>
      </c>
      <c r="E4" s="6" t="s">
        <v>39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4.25" customHeight="1">
      <c r="A5" s="12" t="s">
        <v>40</v>
      </c>
      <c r="B5" s="12" t="s">
        <v>41</v>
      </c>
      <c r="C5" s="25">
        <v>50.0</v>
      </c>
      <c r="D5" s="12" t="s">
        <v>42</v>
      </c>
      <c r="E5" s="12" t="s">
        <v>43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>
      <c r="A6" s="12" t="s">
        <v>40</v>
      </c>
      <c r="B6" s="12" t="s">
        <v>44</v>
      </c>
      <c r="C6" s="26">
        <v>95.0</v>
      </c>
      <c r="D6" s="12" t="s">
        <v>45</v>
      </c>
      <c r="E6" s="12" t="s">
        <v>46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4.25" customHeight="1">
      <c r="A7" s="12" t="s">
        <v>40</v>
      </c>
      <c r="B7" s="12" t="s">
        <v>47</v>
      </c>
      <c r="C7" s="25">
        <v>3.0</v>
      </c>
      <c r="D7" s="12" t="s">
        <v>16</v>
      </c>
      <c r="E7" s="12" t="s">
        <v>48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4.25" customHeight="1">
      <c r="A8" s="12" t="s">
        <v>49</v>
      </c>
      <c r="B8" s="12" t="s">
        <v>50</v>
      </c>
      <c r="C8" s="27">
        <v>1.0</v>
      </c>
      <c r="D8" s="12" t="s">
        <v>51</v>
      </c>
      <c r="E8" s="12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4.25" customHeight="1">
      <c r="A9" s="12" t="s">
        <v>49</v>
      </c>
      <c r="B9" s="12" t="s">
        <v>52</v>
      </c>
      <c r="C9" s="28">
        <v>4500.0</v>
      </c>
      <c r="D9" s="12" t="s">
        <v>53</v>
      </c>
      <c r="E9" s="12" t="s">
        <v>54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4.25" customHeight="1">
      <c r="A10" s="12" t="s">
        <v>49</v>
      </c>
      <c r="B10" s="12" t="s">
        <v>55</v>
      </c>
      <c r="C10" s="28">
        <v>1200.0</v>
      </c>
      <c r="D10" s="12" t="s">
        <v>53</v>
      </c>
      <c r="E10" s="12" t="s">
        <v>56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4.25" customHeight="1">
      <c r="A11" s="12" t="s">
        <v>49</v>
      </c>
      <c r="B11" s="12" t="s">
        <v>57</v>
      </c>
      <c r="C11" s="27">
        <v>2.0</v>
      </c>
      <c r="D11" s="12" t="s">
        <v>58</v>
      </c>
      <c r="E11" s="12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4.25" customHeight="1">
      <c r="A12" s="12" t="s">
        <v>49</v>
      </c>
      <c r="B12" s="12" t="s">
        <v>59</v>
      </c>
      <c r="C12" s="28">
        <v>500.0</v>
      </c>
      <c r="D12" s="12" t="s">
        <v>60</v>
      </c>
      <c r="E12" s="12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4.25" customHeight="1">
      <c r="A13" s="12" t="s">
        <v>49</v>
      </c>
      <c r="B13" s="12" t="s">
        <v>61</v>
      </c>
      <c r="C13" s="28">
        <v>400.0</v>
      </c>
      <c r="D13" s="12" t="s">
        <v>62</v>
      </c>
      <c r="E13" s="12" t="s">
        <v>63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4.25" customHeight="1">
      <c r="A14" s="12" t="s">
        <v>49</v>
      </c>
      <c r="B14" s="12" t="s">
        <v>64</v>
      </c>
      <c r="C14" s="25">
        <v>8.0</v>
      </c>
      <c r="D14" s="12" t="s">
        <v>65</v>
      </c>
      <c r="E14" s="12" t="s">
        <v>66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4.25" customHeight="1">
      <c r="A15" s="12" t="s">
        <v>49</v>
      </c>
      <c r="B15" s="12" t="s">
        <v>67</v>
      </c>
      <c r="C15" s="28">
        <v>7000.0</v>
      </c>
      <c r="D15" s="12" t="s">
        <v>53</v>
      </c>
      <c r="E15" s="12" t="s">
        <v>68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4.25" customHeight="1">
      <c r="A16" s="12" t="s">
        <v>49</v>
      </c>
      <c r="B16" s="12" t="s">
        <v>69</v>
      </c>
      <c r="C16" s="29">
        <v>0.1</v>
      </c>
      <c r="D16" s="12" t="s">
        <v>70</v>
      </c>
      <c r="E16" s="12" t="s">
        <v>71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4.25" customHeight="1">
      <c r="A17" s="12" t="s">
        <v>49</v>
      </c>
      <c r="B17" s="12" t="s">
        <v>72</v>
      </c>
      <c r="C17" s="28">
        <v>150.0</v>
      </c>
      <c r="D17" s="12" t="s">
        <v>53</v>
      </c>
      <c r="E17" s="12" t="s">
        <v>73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4.25" customHeight="1">
      <c r="A18" s="12" t="s">
        <v>74</v>
      </c>
      <c r="B18" s="12" t="s">
        <v>75</v>
      </c>
      <c r="C18" s="30">
        <v>3.0</v>
      </c>
      <c r="D18" s="12" t="s">
        <v>16</v>
      </c>
      <c r="E18" s="12" t="s">
        <v>76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4.25" customHeight="1">
      <c r="A19" s="12" t="s">
        <v>74</v>
      </c>
      <c r="B19" s="12" t="s">
        <v>77</v>
      </c>
      <c r="C19" s="29">
        <v>0.1</v>
      </c>
      <c r="D19" s="12" t="s">
        <v>78</v>
      </c>
      <c r="E19" s="12" t="s">
        <v>79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4.25" customHeight="1">
      <c r="A20" s="12" t="s">
        <v>74</v>
      </c>
      <c r="B20" s="12" t="s">
        <v>80</v>
      </c>
      <c r="C20" s="28">
        <v>350.0</v>
      </c>
      <c r="D20" s="12" t="s">
        <v>81</v>
      </c>
      <c r="E20" s="12" t="s">
        <v>82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4.25" customHeight="1">
      <c r="A21" s="12" t="s">
        <v>74</v>
      </c>
      <c r="B21" s="12" t="s">
        <v>83</v>
      </c>
      <c r="C21" s="29">
        <v>0.05</v>
      </c>
      <c r="D21" s="12" t="s">
        <v>84</v>
      </c>
      <c r="E21" s="12" t="s">
        <v>85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4.25" customHeight="1">
      <c r="A22" s="12" t="s">
        <v>25</v>
      </c>
      <c r="B22" s="12" t="s">
        <v>86</v>
      </c>
      <c r="C22" s="27">
        <v>0.75</v>
      </c>
      <c r="D22" s="12" t="s">
        <v>87</v>
      </c>
      <c r="E22" s="12" t="s">
        <v>88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4.25" customHeight="1">
      <c r="A23" s="12" t="s">
        <v>25</v>
      </c>
      <c r="B23" s="12" t="s">
        <v>89</v>
      </c>
      <c r="C23" s="27">
        <v>2.0</v>
      </c>
      <c r="D23" s="12" t="s">
        <v>87</v>
      </c>
      <c r="E23" s="12" t="s">
        <v>90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4.25" customHeight="1">
      <c r="A24" s="12" t="s">
        <v>25</v>
      </c>
      <c r="B24" s="12" t="s">
        <v>91</v>
      </c>
      <c r="C24" s="27">
        <v>1.0</v>
      </c>
      <c r="D24" s="12" t="s">
        <v>87</v>
      </c>
      <c r="E24" s="12" t="s">
        <v>92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4.25" customHeight="1">
      <c r="A25" s="12" t="s">
        <v>25</v>
      </c>
      <c r="B25" s="12" t="s">
        <v>93</v>
      </c>
      <c r="C25" s="27">
        <v>8.0</v>
      </c>
      <c r="D25" s="12" t="s">
        <v>94</v>
      </c>
      <c r="E25" s="12" t="s">
        <v>95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4.25" customHeight="1">
      <c r="A26" s="12" t="s">
        <v>25</v>
      </c>
      <c r="B26" s="12" t="s">
        <v>96</v>
      </c>
      <c r="C26" s="25">
        <v>400.0</v>
      </c>
      <c r="D26" s="12" t="s">
        <v>97</v>
      </c>
      <c r="E26" s="12" t="s">
        <v>98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4.25" customHeight="1">
      <c r="A27" s="12" t="s">
        <v>25</v>
      </c>
      <c r="B27" s="12" t="s">
        <v>99</v>
      </c>
      <c r="C27" s="28">
        <v>85.0</v>
      </c>
      <c r="D27" s="12" t="s">
        <v>45</v>
      </c>
      <c r="E27" s="12" t="s">
        <v>100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4.25" customHeight="1">
      <c r="A28" s="12" t="s">
        <v>27</v>
      </c>
      <c r="B28" s="12" t="s">
        <v>101</v>
      </c>
      <c r="C28" s="28">
        <v>96.0</v>
      </c>
      <c r="D28" s="12" t="s">
        <v>102</v>
      </c>
      <c r="E28" s="12" t="s">
        <v>103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4.25" customHeight="1">
      <c r="A29" s="12" t="s">
        <v>27</v>
      </c>
      <c r="B29" s="12" t="s">
        <v>104</v>
      </c>
      <c r="C29" s="28">
        <v>72.0</v>
      </c>
      <c r="D29" s="12" t="s">
        <v>102</v>
      </c>
      <c r="E29" s="12" t="s">
        <v>105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4.25" customHeight="1">
      <c r="A30" s="12" t="s">
        <v>27</v>
      </c>
      <c r="B30" s="12" t="s">
        <v>106</v>
      </c>
      <c r="C30" s="28">
        <v>120.0</v>
      </c>
      <c r="D30" s="12" t="s">
        <v>102</v>
      </c>
      <c r="E30" s="12" t="s">
        <v>107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4.25" customHeight="1">
      <c r="A31" s="12" t="s">
        <v>27</v>
      </c>
      <c r="B31" s="12" t="s">
        <v>108</v>
      </c>
      <c r="C31" s="28">
        <v>84.0</v>
      </c>
      <c r="D31" s="12" t="s">
        <v>102</v>
      </c>
      <c r="E31" s="12" t="s">
        <v>109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4.25" customHeight="1">
      <c r="A32" s="12" t="s">
        <v>27</v>
      </c>
      <c r="B32" s="12" t="s">
        <v>110</v>
      </c>
      <c r="C32" s="28">
        <v>60.0</v>
      </c>
      <c r="D32" s="12" t="s">
        <v>81</v>
      </c>
      <c r="E32" s="12" t="s">
        <v>111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4.25" customHeight="1">
      <c r="A33" s="12" t="s">
        <v>28</v>
      </c>
      <c r="B33" s="12" t="s">
        <v>112</v>
      </c>
      <c r="C33" s="28">
        <v>60000.0</v>
      </c>
      <c r="D33" s="12" t="s">
        <v>113</v>
      </c>
      <c r="E33" s="12" t="s">
        <v>114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4.25" customHeight="1">
      <c r="A34" s="12" t="s">
        <v>28</v>
      </c>
      <c r="B34" s="12" t="s">
        <v>115</v>
      </c>
      <c r="C34" s="25">
        <v>5.0</v>
      </c>
      <c r="D34" s="12" t="s">
        <v>16</v>
      </c>
      <c r="E34" s="12" t="s">
        <v>116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4.25" customHeight="1">
      <c r="A35" s="12" t="s">
        <v>28</v>
      </c>
      <c r="B35" s="12" t="s">
        <v>117</v>
      </c>
      <c r="C35" s="28">
        <v>9000.0</v>
      </c>
      <c r="D35" s="12" t="s">
        <v>118</v>
      </c>
      <c r="E35" s="12" t="s">
        <v>119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4.25" customHeight="1">
      <c r="A36" s="12" t="s">
        <v>28</v>
      </c>
      <c r="B36" s="12" t="s">
        <v>120</v>
      </c>
      <c r="C36" s="28">
        <v>12000.0</v>
      </c>
      <c r="D36" s="12" t="s">
        <v>118</v>
      </c>
      <c r="E36" s="12" t="s">
        <v>121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4.25" customHeight="1">
      <c r="A37" s="12" t="s">
        <v>28</v>
      </c>
      <c r="B37" s="12" t="s">
        <v>122</v>
      </c>
      <c r="C37" s="25">
        <v>300.0</v>
      </c>
      <c r="D37" s="12" t="s">
        <v>123</v>
      </c>
      <c r="E37" s="12" t="s">
        <v>124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4.25" customHeight="1">
      <c r="A38" s="12" t="s">
        <v>28</v>
      </c>
      <c r="B38" s="12" t="s">
        <v>125</v>
      </c>
      <c r="C38" s="25">
        <v>2000.0</v>
      </c>
      <c r="D38" s="12" t="s">
        <v>97</v>
      </c>
      <c r="E38" s="12" t="s">
        <v>126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4.25" customHeight="1">
      <c r="A39" s="12" t="s">
        <v>28</v>
      </c>
      <c r="B39" s="12" t="s">
        <v>127</v>
      </c>
      <c r="C39" s="31">
        <v>0.14</v>
      </c>
      <c r="D39" s="12" t="s">
        <v>128</v>
      </c>
      <c r="E39" s="12" t="s">
        <v>129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4.25" customHeight="1">
      <c r="A40" s="12" t="s">
        <v>29</v>
      </c>
      <c r="B40" s="12" t="s">
        <v>130</v>
      </c>
      <c r="C40" s="25">
        <v>180.0</v>
      </c>
      <c r="D40" s="12" t="s">
        <v>97</v>
      </c>
      <c r="E40" s="12" t="s">
        <v>131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4.25" customHeight="1">
      <c r="A41" s="12" t="s">
        <v>29</v>
      </c>
      <c r="B41" s="12" t="s">
        <v>132</v>
      </c>
      <c r="C41" s="28">
        <v>7500.0</v>
      </c>
      <c r="D41" s="12" t="s">
        <v>118</v>
      </c>
      <c r="E41" s="12" t="s">
        <v>133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4.25" customHeight="1">
      <c r="A42" s="12" t="s">
        <v>30</v>
      </c>
      <c r="B42" s="12" t="s">
        <v>134</v>
      </c>
      <c r="C42" s="25">
        <v>15.0</v>
      </c>
      <c r="D42" s="12" t="s">
        <v>135</v>
      </c>
      <c r="E42" s="12" t="s">
        <v>136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4.25" customHeight="1">
      <c r="A43" s="12" t="s">
        <v>30</v>
      </c>
      <c r="B43" s="12" t="s">
        <v>137</v>
      </c>
      <c r="C43" s="28">
        <v>175.0</v>
      </c>
      <c r="D43" s="12" t="s">
        <v>138</v>
      </c>
      <c r="E43" s="12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4.25" customHeight="1">
      <c r="A44" s="12" t="s">
        <v>30</v>
      </c>
      <c r="B44" s="12" t="s">
        <v>139</v>
      </c>
      <c r="C44" s="27">
        <v>1.5</v>
      </c>
      <c r="D44" s="12" t="s">
        <v>140</v>
      </c>
      <c r="E44" s="12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4.25" customHeight="1">
      <c r="A45" s="12" t="s">
        <v>31</v>
      </c>
      <c r="B45" s="12" t="s">
        <v>141</v>
      </c>
      <c r="C45" s="27">
        <v>0.35</v>
      </c>
      <c r="D45" s="12" t="s">
        <v>142</v>
      </c>
      <c r="E45" s="12" t="s">
        <v>143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4.25" customHeight="1">
      <c r="A46" s="12" t="s">
        <v>31</v>
      </c>
      <c r="B46" s="12" t="s">
        <v>144</v>
      </c>
      <c r="C46" s="27">
        <v>3.5</v>
      </c>
      <c r="D46" s="12" t="s">
        <v>140</v>
      </c>
      <c r="E46" s="12" t="s">
        <v>145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4.25" customHeight="1">
      <c r="A47" s="12" t="s">
        <v>31</v>
      </c>
      <c r="B47" s="12" t="s">
        <v>146</v>
      </c>
      <c r="C47" s="25">
        <v>6.0</v>
      </c>
      <c r="D47" s="12" t="s">
        <v>135</v>
      </c>
      <c r="E47" s="12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4.25" customHeight="1">
      <c r="A48" s="12" t="s">
        <v>31</v>
      </c>
      <c r="B48" s="12" t="s">
        <v>147</v>
      </c>
      <c r="C48" s="25">
        <v>4.0</v>
      </c>
      <c r="D48" s="12" t="s">
        <v>148</v>
      </c>
      <c r="E48" s="12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4.25" customHeight="1">
      <c r="A49" s="12" t="s">
        <v>31</v>
      </c>
      <c r="B49" s="12" t="s">
        <v>149</v>
      </c>
      <c r="C49" s="27">
        <v>2.0</v>
      </c>
      <c r="D49" s="12" t="s">
        <v>140</v>
      </c>
      <c r="E49" s="12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4.25" customHeight="1">
      <c r="A50" s="12" t="s">
        <v>150</v>
      </c>
      <c r="B50" s="12" t="s">
        <v>151</v>
      </c>
      <c r="C50" s="25">
        <v>120.0</v>
      </c>
      <c r="D50" s="12" t="s">
        <v>97</v>
      </c>
      <c r="E50" s="12" t="s">
        <v>152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4.25" customHeight="1">
      <c r="A51" s="12" t="s">
        <v>150</v>
      </c>
      <c r="B51" s="12" t="s">
        <v>153</v>
      </c>
      <c r="C51" s="28">
        <v>60.0</v>
      </c>
      <c r="D51" s="12" t="s">
        <v>53</v>
      </c>
      <c r="E51" s="12" t="s">
        <v>154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4.25" customHeight="1">
      <c r="A52" s="12" t="s">
        <v>26</v>
      </c>
      <c r="B52" s="12" t="s">
        <v>155</v>
      </c>
      <c r="C52" s="28">
        <v>250.0</v>
      </c>
      <c r="D52" s="12" t="s">
        <v>156</v>
      </c>
      <c r="E52" s="12" t="s">
        <v>157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4.25" customHeight="1">
      <c r="A53" s="12" t="s">
        <v>26</v>
      </c>
      <c r="B53" s="12" t="s">
        <v>158</v>
      </c>
      <c r="C53" s="31">
        <v>1.5</v>
      </c>
      <c r="D53" s="12" t="s">
        <v>45</v>
      </c>
      <c r="E53" s="12" t="s">
        <v>157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4.25" customHeight="1">
      <c r="A54" s="12" t="s">
        <v>26</v>
      </c>
      <c r="B54" s="12" t="s">
        <v>159</v>
      </c>
      <c r="C54" s="25">
        <v>80.0</v>
      </c>
      <c r="D54" s="12" t="s">
        <v>160</v>
      </c>
      <c r="E54" s="12" t="s">
        <v>157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4.25" customHeight="1">
      <c r="A55" s="12" t="s">
        <v>26</v>
      </c>
      <c r="B55" s="12" t="s">
        <v>161</v>
      </c>
      <c r="C55" s="28">
        <v>35.0</v>
      </c>
      <c r="D55" s="12" t="s">
        <v>156</v>
      </c>
      <c r="E55" s="12" t="s">
        <v>157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4.25" customHeight="1">
      <c r="A56" s="12" t="s">
        <v>26</v>
      </c>
      <c r="B56" s="12" t="s">
        <v>162</v>
      </c>
      <c r="C56" s="28">
        <v>15000.0</v>
      </c>
      <c r="D56" s="12" t="s">
        <v>113</v>
      </c>
      <c r="E56" s="12" t="s">
        <v>163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4.25" customHeight="1">
      <c r="A57" s="12" t="s">
        <v>26</v>
      </c>
      <c r="B57" s="12" t="s">
        <v>164</v>
      </c>
      <c r="C57" s="28">
        <v>600.0</v>
      </c>
      <c r="D57" s="12" t="s">
        <v>102</v>
      </c>
      <c r="E57" s="12" t="s">
        <v>165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4.25" customHeight="1">
      <c r="A58" s="4"/>
      <c r="B58" s="4"/>
      <c r="C58" s="15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4.2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4.2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4.2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4.2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4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4.2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4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4.2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4.2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4.2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4.2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4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4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4.2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4.2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4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4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4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4.2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4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4.2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4.2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4.2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4.2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4.2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4.2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4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4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4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4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4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4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4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4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4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4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4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4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4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4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4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4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4.2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4.2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4.2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4.2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4.2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4.2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4.2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4.2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4.2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4.2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4.2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4.2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4.2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4.2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4.2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4.2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4.2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4.2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4.2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4.2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4.2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4.2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4.2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4.2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4.2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4.2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4.2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4.2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4.2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4.2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4.2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4.2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4.2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4.2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4.2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4.2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4.2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4.2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4.2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4.2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4.2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4.2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4.2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4.2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4.2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4.2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4.2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4.2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4.2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4.2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4.2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4.2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4.2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4.2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4.2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4.2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4.2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4.2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4.2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4.2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4.2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4.2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4.2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4.2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4.2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4.2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4.2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4.2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4.2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4.2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4.2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4.2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4.2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4.2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4.2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4.2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4.2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4.2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4.2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4.2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4.2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4.2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4.2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4.2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4.2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4.2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4.2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4.2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4.2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4.2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4.2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4.2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4.2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4.2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4.2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4.2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4.2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4.2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4.2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4.2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">
    <mergeCell ref="A1:E1"/>
    <mergeCell ref="A2:E2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4.0"/>
    <col customWidth="1" min="2" max="2" width="42.0"/>
    <col customWidth="1" min="3" max="5" width="18.0"/>
    <col customWidth="1" min="6" max="6" width="42.0"/>
    <col customWidth="1" min="7" max="26" width="8.63"/>
  </cols>
  <sheetData>
    <row r="1" ht="14.25" customHeight="1">
      <c r="A1" s="24" t="s">
        <v>166</v>
      </c>
      <c r="B1" s="2"/>
      <c r="C1" s="2"/>
      <c r="D1" s="2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4.2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4.25" customHeight="1">
      <c r="A3" s="6" t="s">
        <v>17</v>
      </c>
      <c r="B3" s="6" t="s">
        <v>167</v>
      </c>
      <c r="C3" s="6" t="s">
        <v>18</v>
      </c>
      <c r="D3" s="6" t="s">
        <v>21</v>
      </c>
      <c r="E3" s="6" t="s">
        <v>22</v>
      </c>
      <c r="F3" s="6" t="s">
        <v>39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4.25" customHeight="1">
      <c r="A4" s="12" t="s">
        <v>49</v>
      </c>
      <c r="B4" s="12" t="s">
        <v>168</v>
      </c>
      <c r="C4" s="13">
        <f>(Inputs!C5*Inputs!C8*(Inputs!C9+Inputs!C10)*(1-Inputs!C19))/Inputs!C18</f>
        <v>85500</v>
      </c>
      <c r="D4" s="13">
        <f>C4*Inputs!C7</f>
        <v>256500</v>
      </c>
      <c r="E4" s="13">
        <f>C4/Inputs!C5/12</f>
        <v>142.5</v>
      </c>
      <c r="F4" s="12" t="s">
        <v>169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4.25" customHeight="1">
      <c r="A5" s="12" t="s">
        <v>49</v>
      </c>
      <c r="B5" s="12" t="s">
        <v>170</v>
      </c>
      <c r="C5" s="13">
        <f>(Inputs!C5*(Inputs!C11*Inputs!C12+Inputs!C13)*(1-Inputs!C19))/Inputs!C18</f>
        <v>21000</v>
      </c>
      <c r="D5" s="13">
        <f>C5*Inputs!C7</f>
        <v>63000</v>
      </c>
      <c r="E5" s="13">
        <f>C5/Inputs!C5/12</f>
        <v>35</v>
      </c>
      <c r="F5" s="12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>
      <c r="A6" s="12" t="s">
        <v>49</v>
      </c>
      <c r="B6" s="12" t="s">
        <v>171</v>
      </c>
      <c r="C6" s="13">
        <f>(Inputs!C14*Inputs!C15*(1-Inputs!C19))/Inputs!C18</f>
        <v>16800</v>
      </c>
      <c r="D6" s="13">
        <f>C6*Inputs!C7</f>
        <v>50400</v>
      </c>
      <c r="E6" s="13">
        <f>C6/Inputs!C5/12</f>
        <v>28</v>
      </c>
      <c r="F6" s="12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4.25" customHeight="1">
      <c r="A7" s="12" t="s">
        <v>49</v>
      </c>
      <c r="B7" s="12" t="s">
        <v>172</v>
      </c>
      <c r="C7" s="13">
        <f>(Inputs!C5*Inputs!C8*Inputs!C16*(Inputs!C9+Inputs!C10)*(1-Inputs!C19))/Inputs!C18</f>
        <v>8550</v>
      </c>
      <c r="D7" s="13">
        <f>C7*Inputs!C7</f>
        <v>25650</v>
      </c>
      <c r="E7" s="13">
        <f>C7/Inputs!C5/12</f>
        <v>14.25</v>
      </c>
      <c r="F7" s="12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4.25" customHeight="1">
      <c r="A8" s="12" t="s">
        <v>49</v>
      </c>
      <c r="B8" s="12" t="s">
        <v>173</v>
      </c>
      <c r="C8" s="13">
        <f>((Inputs!C5*Inputs!C8)+Inputs!C14+(Inputs!C5*Inputs!C8*Inputs!C16))*Inputs!C17/Inputs!C18</f>
        <v>3150</v>
      </c>
      <c r="D8" s="13">
        <f>C8*Inputs!C7</f>
        <v>9450</v>
      </c>
      <c r="E8" s="13">
        <f>C8/Inputs!C5/12</f>
        <v>5.25</v>
      </c>
      <c r="F8" s="12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4.25" customHeight="1">
      <c r="A9" s="12" t="s">
        <v>74</v>
      </c>
      <c r="B9" s="12" t="s">
        <v>174</v>
      </c>
      <c r="C9" s="13">
        <f>((Inputs!C5*Inputs!C8)+Inputs!C14+(Inputs!C5*Inputs!C8*Inputs!C16))*Inputs!C20</f>
        <v>22050</v>
      </c>
      <c r="D9" s="13">
        <f>C9*Inputs!C7</f>
        <v>66150</v>
      </c>
      <c r="E9" s="13">
        <f>C9/Inputs!C5/12</f>
        <v>36.75</v>
      </c>
      <c r="F9" s="12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4.25" customHeight="1">
      <c r="A10" s="12" t="s">
        <v>74</v>
      </c>
      <c r="B10" s="12" t="s">
        <v>83</v>
      </c>
      <c r="C10" s="13">
        <f>((Inputs!C5*Inputs!C8*(Inputs!C9+Inputs!C10))+(Inputs!C5*(Inputs!C11*Inputs!C12+Inputs!C13))+(Inputs!C14*Inputs!C15)+(Inputs!C5*Inputs!C8*Inputs!C16*(Inputs!C9+Inputs!C10)))*Inputs!C21</f>
        <v>21975</v>
      </c>
      <c r="D10" s="13">
        <f>C10*Inputs!C7</f>
        <v>65925</v>
      </c>
      <c r="E10" s="13">
        <f>C10/Inputs!C5/12</f>
        <v>36.625</v>
      </c>
      <c r="F10" s="12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4.25" customHeight="1">
      <c r="A11" s="12" t="s">
        <v>25</v>
      </c>
      <c r="B11" s="12" t="s">
        <v>175</v>
      </c>
      <c r="C11" s="13">
        <f>(((Inputs!C5*Inputs!C8)+Inputs!C14+(Inputs!C5*Inputs!C8*Inputs!C16))*(Inputs!C22+Inputs!C23+Inputs!C24)*Inputs!C27)/Inputs!C18</f>
        <v>6693.75</v>
      </c>
      <c r="D11" s="13">
        <f>C11*Inputs!C7</f>
        <v>20081.25</v>
      </c>
      <c r="E11" s="13">
        <f>C11/Inputs!C5/12</f>
        <v>11.15625</v>
      </c>
      <c r="F11" s="12" t="s">
        <v>176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4.25" customHeight="1">
      <c r="A12" s="12" t="s">
        <v>25</v>
      </c>
      <c r="B12" s="12" t="s">
        <v>177</v>
      </c>
      <c r="C12" s="13">
        <f>Inputs!C5*Inputs!C25*Inputs!C27</f>
        <v>34000</v>
      </c>
      <c r="D12" s="13">
        <f>C12*Inputs!C7</f>
        <v>102000</v>
      </c>
      <c r="E12" s="13">
        <f>C12/Inputs!C5/12</f>
        <v>56.66666667</v>
      </c>
      <c r="F12" s="12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4.25" customHeight="1">
      <c r="A13" s="12" t="s">
        <v>25</v>
      </c>
      <c r="B13" s="12" t="s">
        <v>178</v>
      </c>
      <c r="C13" s="13">
        <f>Inputs!C26*Inputs!C27</f>
        <v>34000</v>
      </c>
      <c r="D13" s="13">
        <f>C13*Inputs!C7</f>
        <v>102000</v>
      </c>
      <c r="E13" s="13">
        <f>C13/Inputs!C5/12</f>
        <v>56.66666667</v>
      </c>
      <c r="F13" s="12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4.25" customHeight="1">
      <c r="A14" s="12" t="s">
        <v>27</v>
      </c>
      <c r="B14" s="12" t="s">
        <v>179</v>
      </c>
      <c r="C14" s="13">
        <f>Inputs!C5*Inputs!C28</f>
        <v>4800</v>
      </c>
      <c r="D14" s="13">
        <f>C14*Inputs!C7</f>
        <v>14400</v>
      </c>
      <c r="E14" s="13">
        <f>C14/Inputs!C5/12</f>
        <v>8</v>
      </c>
      <c r="F14" s="12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4.25" customHeight="1">
      <c r="A15" s="12" t="s">
        <v>27</v>
      </c>
      <c r="B15" s="12" t="s">
        <v>180</v>
      </c>
      <c r="C15" s="13">
        <f>Inputs!C5*Inputs!C29</f>
        <v>3600</v>
      </c>
      <c r="D15" s="13">
        <f>C15*Inputs!C7</f>
        <v>10800</v>
      </c>
      <c r="E15" s="13">
        <f>C15/Inputs!C5/12</f>
        <v>6</v>
      </c>
      <c r="F15" s="12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4.25" customHeight="1">
      <c r="A16" s="12" t="s">
        <v>27</v>
      </c>
      <c r="B16" s="12" t="s">
        <v>181</v>
      </c>
      <c r="C16" s="13">
        <f>Inputs!C5*Inputs!C30</f>
        <v>6000</v>
      </c>
      <c r="D16" s="13">
        <f>C16*Inputs!C7</f>
        <v>18000</v>
      </c>
      <c r="E16" s="13">
        <f>C16/Inputs!C5/12</f>
        <v>10</v>
      </c>
      <c r="F16" s="12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4.25" customHeight="1">
      <c r="A17" s="12" t="s">
        <v>27</v>
      </c>
      <c r="B17" s="12" t="s">
        <v>182</v>
      </c>
      <c r="C17" s="13">
        <f>Inputs!C5*Inputs!C31</f>
        <v>4200</v>
      </c>
      <c r="D17" s="13">
        <f>C17*Inputs!C7</f>
        <v>12600</v>
      </c>
      <c r="E17" s="13">
        <f>C17/Inputs!C5/12</f>
        <v>7</v>
      </c>
      <c r="F17" s="12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4.25" customHeight="1">
      <c r="A18" s="12" t="s">
        <v>27</v>
      </c>
      <c r="B18" s="12" t="s">
        <v>183</v>
      </c>
      <c r="C18" s="13">
        <f>((Inputs!C5*Inputs!C8)+Inputs!C14+(Inputs!C5*Inputs!C8*Inputs!C16))*Inputs!C32</f>
        <v>3780</v>
      </c>
      <c r="D18" s="13">
        <f>C18*Inputs!C7</f>
        <v>11340</v>
      </c>
      <c r="E18" s="13">
        <f>C18/Inputs!C5/12</f>
        <v>6.3</v>
      </c>
      <c r="F18" s="12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4.25" customHeight="1">
      <c r="A19" s="12" t="s">
        <v>28</v>
      </c>
      <c r="B19" s="12" t="s">
        <v>184</v>
      </c>
      <c r="C19" s="13">
        <f>Inputs!C33/Inputs!C34</f>
        <v>12000</v>
      </c>
      <c r="D19" s="13">
        <f>C19*Inputs!C7</f>
        <v>36000</v>
      </c>
      <c r="E19" s="13">
        <f>C19/Inputs!C5/12</f>
        <v>20</v>
      </c>
      <c r="F19" s="12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4.25" customHeight="1">
      <c r="A20" s="12" t="s">
        <v>28</v>
      </c>
      <c r="B20" s="12" t="s">
        <v>185</v>
      </c>
      <c r="C20" s="13">
        <f>Inputs!C35</f>
        <v>9000</v>
      </c>
      <c r="D20" s="13">
        <f>C20*Inputs!C7</f>
        <v>27000</v>
      </c>
      <c r="E20" s="13">
        <f>C20/Inputs!C5/12</f>
        <v>15</v>
      </c>
      <c r="F20" s="12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4.25" customHeight="1">
      <c r="A21" s="12" t="s">
        <v>28</v>
      </c>
      <c r="B21" s="12" t="s">
        <v>186</v>
      </c>
      <c r="C21" s="13">
        <f>Inputs!C36</f>
        <v>12000</v>
      </c>
      <c r="D21" s="13">
        <f>C21*Inputs!C7</f>
        <v>36000</v>
      </c>
      <c r="E21" s="13">
        <f>C21/Inputs!C5/12</f>
        <v>20</v>
      </c>
      <c r="F21" s="12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4.25" customHeight="1">
      <c r="A22" s="12" t="s">
        <v>28</v>
      </c>
      <c r="B22" s="12" t="s">
        <v>187</v>
      </c>
      <c r="C22" s="13">
        <f>((Inputs!C5*Inputs!C8)+Inputs!C14)*(Inputs!C37/1000)*Inputs!C38*Inputs!C39</f>
        <v>4872</v>
      </c>
      <c r="D22" s="13">
        <f>C22*Inputs!C7</f>
        <v>14616</v>
      </c>
      <c r="E22" s="13">
        <f>C22/Inputs!C5/12</f>
        <v>8.12</v>
      </c>
      <c r="F22" s="12" t="s">
        <v>188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4.25" customHeight="1">
      <c r="A23" s="12" t="s">
        <v>29</v>
      </c>
      <c r="B23" s="12" t="s">
        <v>189</v>
      </c>
      <c r="C23" s="13">
        <f>Inputs!C40*Inputs!C27</f>
        <v>15300</v>
      </c>
      <c r="D23" s="13">
        <f>C23*Inputs!C7</f>
        <v>45900</v>
      </c>
      <c r="E23" s="13">
        <f>C23/Inputs!C5/12</f>
        <v>25.5</v>
      </c>
      <c r="F23" s="12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4.25" customHeight="1">
      <c r="A24" s="12" t="s">
        <v>29</v>
      </c>
      <c r="B24" s="12" t="s">
        <v>190</v>
      </c>
      <c r="C24" s="13">
        <f>Inputs!C41</f>
        <v>7500</v>
      </c>
      <c r="D24" s="13">
        <f>C24*Inputs!C7</f>
        <v>22500</v>
      </c>
      <c r="E24" s="13">
        <f>C24/Inputs!C5/12</f>
        <v>12.5</v>
      </c>
      <c r="F24" s="12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4.25" customHeight="1">
      <c r="A25" s="12" t="s">
        <v>30</v>
      </c>
      <c r="B25" s="12" t="s">
        <v>191</v>
      </c>
      <c r="C25" s="13">
        <f>Inputs!C42*Inputs!C43+(Inputs!C42*Inputs!C44*Inputs!C27)</f>
        <v>4537.5</v>
      </c>
      <c r="D25" s="13">
        <f>C25*Inputs!C7</f>
        <v>13612.5</v>
      </c>
      <c r="E25" s="13">
        <f>C25/Inputs!C5/12</f>
        <v>7.5625</v>
      </c>
      <c r="F25" s="12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4.25" customHeight="1">
      <c r="A26" s="12" t="s">
        <v>31</v>
      </c>
      <c r="B26" s="12" t="s">
        <v>192</v>
      </c>
      <c r="C26" s="13">
        <f>Inputs!C5*Inputs!C45*Inputs!C46*Inputs!C6</f>
        <v>5818.75</v>
      </c>
      <c r="D26" s="13">
        <f>C26*Inputs!C7</f>
        <v>17456.25</v>
      </c>
      <c r="E26" s="13">
        <f>C26/Inputs!C5/12</f>
        <v>9.697916667</v>
      </c>
      <c r="F26" s="12" t="s">
        <v>193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4.25" customHeight="1">
      <c r="A27" s="12" t="s">
        <v>31</v>
      </c>
      <c r="B27" s="12" t="s">
        <v>194</v>
      </c>
      <c r="C27" s="13">
        <f>Inputs!C47*Inputs!C48*Inputs!C49*Inputs!C6</f>
        <v>4560</v>
      </c>
      <c r="D27" s="13">
        <f>C27*Inputs!C7</f>
        <v>13680</v>
      </c>
      <c r="E27" s="13">
        <f>C27/Inputs!C5/12</f>
        <v>7.6</v>
      </c>
      <c r="F27" s="12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4.25" customHeight="1">
      <c r="A28" s="12" t="s">
        <v>150</v>
      </c>
      <c r="B28" s="12" t="s">
        <v>195</v>
      </c>
      <c r="C28" s="13">
        <f>Inputs!C50*Inputs!C27</f>
        <v>10200</v>
      </c>
      <c r="D28" s="13">
        <f>C28*Inputs!C7</f>
        <v>30600</v>
      </c>
      <c r="E28" s="13">
        <f>C28/Inputs!C5/12</f>
        <v>17</v>
      </c>
      <c r="F28" s="12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4.25" customHeight="1">
      <c r="A29" s="12" t="s">
        <v>150</v>
      </c>
      <c r="B29" s="12" t="s">
        <v>196</v>
      </c>
      <c r="C29" s="13">
        <f>((Inputs!C5*Inputs!C8)+Inputs!C14+(Inputs!C5*Inputs!C8*Inputs!C16))*Inputs!C51/Inputs!C18</f>
        <v>1260</v>
      </c>
      <c r="D29" s="13">
        <f>C29*Inputs!C7</f>
        <v>3780</v>
      </c>
      <c r="E29" s="13">
        <f>C29/Inputs!C5/12</f>
        <v>2.1</v>
      </c>
      <c r="F29" s="12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4.25" customHeight="1">
      <c r="A30" s="32" t="s">
        <v>197</v>
      </c>
      <c r="B30" s="32" t="s">
        <v>198</v>
      </c>
      <c r="C30" s="33">
        <f>SUM(C4:C29)</f>
        <v>363147</v>
      </c>
      <c r="D30" s="33">
        <f>C30*Inputs!C7</f>
        <v>1089441</v>
      </c>
      <c r="E30" s="33">
        <f>C30/Inputs!C5/12</f>
        <v>605.245</v>
      </c>
      <c r="F30" s="32" t="s">
        <v>199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4.25" customHeight="1">
      <c r="A31" s="12"/>
      <c r="B31" s="12"/>
      <c r="C31" s="13"/>
      <c r="D31" s="13"/>
      <c r="E31" s="13"/>
      <c r="F31" s="12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4.25" customHeight="1">
      <c r="A32" s="32"/>
      <c r="B32" s="32"/>
      <c r="C32" s="33"/>
      <c r="D32" s="33"/>
      <c r="E32" s="33"/>
      <c r="F32" s="32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4.2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4.2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4.2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4.2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4.2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4.2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4.2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4.2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4.2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4.2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4.2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4.2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4.2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4.2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4.2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4.2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4.2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4.2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4.2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4.2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4.2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4.2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4.2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4.2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4.2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4.2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4.2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4.2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4.2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4.2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4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4.2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4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4.2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4.2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4.2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4.2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4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4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4.2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4.2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4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4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4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4.2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4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4.2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4.2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4.2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4.2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4.2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4.2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4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4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4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4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4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4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4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4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4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4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4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4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4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4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4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4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4.2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4.2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4.2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4.2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4.2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4.2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4.2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4.2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4.2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4.2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4.2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4.2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4.2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4.2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4.2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4.2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4.2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4.2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4.2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4.2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4.2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4.2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4.2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4.2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4.2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4.2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4.2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4.2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4.2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4.2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4.2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4.2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4.2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4.2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4.2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4.2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4.2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4.2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4.2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4.2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4.2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4.2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4.2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4.2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4.2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4.2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4.2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4.2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4.2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4.2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4.2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4.2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4.2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4.2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4.2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4.2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4.2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4.2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4.2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4.2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4.2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4.2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4.2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4.2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4.2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4.2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4.2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4.2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4.2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4.2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4.2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4.2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4.2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4.2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4.2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4.2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4.2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4.2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4.2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4.2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4.2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4.2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4.2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4.2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4.2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4.2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4.2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4.2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4.2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4.2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4.2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4.2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4.2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4.2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4.2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4.2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4.2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4.2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4.2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4.2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:F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8.0"/>
    <col customWidth="1" min="2" max="2" width="20.0"/>
    <col customWidth="1" min="3" max="5" width="18.0"/>
    <col customWidth="1" min="6" max="6" width="48.0"/>
    <col customWidth="1" min="7" max="26" width="8.63"/>
  </cols>
  <sheetData>
    <row r="1" ht="14.25" customHeight="1">
      <c r="A1" s="24" t="s">
        <v>200</v>
      </c>
      <c r="B1" s="2"/>
      <c r="C1" s="2"/>
      <c r="D1" s="2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4.2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4.25" customHeight="1">
      <c r="A3" s="6" t="s">
        <v>2</v>
      </c>
      <c r="B3" s="6" t="s">
        <v>24</v>
      </c>
      <c r="C3" s="6" t="s">
        <v>26</v>
      </c>
      <c r="D3" s="6" t="s">
        <v>201</v>
      </c>
      <c r="E3" s="6" t="s">
        <v>202</v>
      </c>
      <c r="F3" s="6" t="s">
        <v>39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4.25" customHeight="1">
      <c r="A4" s="12" t="s">
        <v>18</v>
      </c>
      <c r="B4" s="13">
        <f>'TCO Calculation'!C30</f>
        <v>363147</v>
      </c>
      <c r="C4" s="13">
        <f>Inputs!C5*((Inputs!C52+Inputs!C55)*12 + (Inputs!C53*Inputs!C54*12) + Inputs!C57) + (Inputs!C56/Inputs!C7)</f>
        <v>278000</v>
      </c>
      <c r="D4" s="13">
        <f t="shared" ref="D4:D6" si="1">B4-C4</f>
        <v>85147</v>
      </c>
      <c r="E4" s="13">
        <f>D4*Inputs!C7</f>
        <v>255441</v>
      </c>
      <c r="F4" s="12" t="s">
        <v>203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4.25" customHeight="1">
      <c r="A5" s="12" t="s">
        <v>204</v>
      </c>
      <c r="B5" s="13">
        <f>'TCO Calculation'!E30</f>
        <v>605.245</v>
      </c>
      <c r="C5" s="13">
        <f>C4/Inputs!C5/12</f>
        <v>463.3333333</v>
      </c>
      <c r="D5" s="13">
        <f t="shared" si="1"/>
        <v>141.9116667</v>
      </c>
      <c r="E5" s="13">
        <f>D5*12*Inputs!C7*Inputs!C5</f>
        <v>255441</v>
      </c>
      <c r="F5" s="12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>
      <c r="A6" s="12" t="s">
        <v>21</v>
      </c>
      <c r="B6" s="13">
        <f>'TCO Calculation'!D30</f>
        <v>1089441</v>
      </c>
      <c r="C6" s="13">
        <f>C4*Inputs!C7</f>
        <v>834000</v>
      </c>
      <c r="D6" s="13">
        <f t="shared" si="1"/>
        <v>255441</v>
      </c>
      <c r="E6" s="13">
        <f>D6</f>
        <v>255441</v>
      </c>
      <c r="F6" s="12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4.25" customHeight="1">
      <c r="A7" s="12" t="s">
        <v>205</v>
      </c>
      <c r="B7" s="13">
        <f>'TCO Calculation'!C30-C4</f>
        <v>85147</v>
      </c>
      <c r="C7" s="13">
        <f>D4</f>
        <v>85147</v>
      </c>
      <c r="D7" s="13">
        <f>D4</f>
        <v>85147</v>
      </c>
      <c r="E7" s="13">
        <f>D4*Inputs!C7</f>
        <v>255441</v>
      </c>
      <c r="F7" s="12" t="s">
        <v>206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4.25" customHeight="1">
      <c r="A8" s="12" t="s">
        <v>207</v>
      </c>
      <c r="B8" s="13">
        <f>'TCO Calculation'!D30-C6</f>
        <v>255441</v>
      </c>
      <c r="C8" s="13">
        <f>D6</f>
        <v>255441</v>
      </c>
      <c r="D8" s="13">
        <f>D6</f>
        <v>255441</v>
      </c>
      <c r="E8" s="13">
        <f>D6</f>
        <v>255441</v>
      </c>
      <c r="F8" s="12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4.25" customHeight="1">
      <c r="A9" s="12" t="s">
        <v>208</v>
      </c>
      <c r="B9" s="13"/>
      <c r="C9" s="14">
        <f>(D4/C4)</f>
        <v>0.3062841727</v>
      </c>
      <c r="D9" s="13"/>
      <c r="E9" s="13"/>
      <c r="F9" s="12" t="s">
        <v>209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4.25" customHeight="1">
      <c r="A10" s="12" t="s">
        <v>210</v>
      </c>
      <c r="B10" s="13"/>
      <c r="C10" s="34">
        <f>IF(D4&gt;0,(Inputs!C56/D4)*12,"No payback")</f>
        <v>2.113991098</v>
      </c>
      <c r="D10" s="13"/>
      <c r="E10" s="13"/>
      <c r="F10" s="12" t="s">
        <v>211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4.25" customHeight="1">
      <c r="A11" s="12" t="s">
        <v>14</v>
      </c>
      <c r="B11" s="13">
        <f>((Inputs!C5*Inputs!C8*(Inputs!C9+Inputs!C10))+(Inputs!C5*(Inputs!C11*Inputs!C12+Inputs!C13))+(Inputs!C14*Inputs!C15)+(Inputs!C5*Inputs!C8*Inputs!C16*(Inputs!C9+Inputs!C10)))</f>
        <v>439500</v>
      </c>
      <c r="C11" s="13">
        <f>0</f>
        <v>0</v>
      </c>
      <c r="D11" s="13">
        <f>B11-C11</f>
        <v>439500</v>
      </c>
      <c r="E11" s="13">
        <f>D11</f>
        <v>439500</v>
      </c>
      <c r="F11" s="12" t="s">
        <v>212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4.2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4.2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4.2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4.2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4.2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4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4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4.2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4.2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4.2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4.2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4.2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4.2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4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4.2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4.2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4.2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4.2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4.2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4.2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4.2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4.2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4.2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4.2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4.2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4.2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4.2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4.2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4.2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4.2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4.2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4.2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4.2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4.2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4.2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4.2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4.2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4.2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4.2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4.2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4.2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4.2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4.2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4.2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4.2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4.2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4.2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4.2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4.2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4.2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4.2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4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4.2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4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4.2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4.2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4.2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4.2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4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4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4.2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4.2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4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4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4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4.2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4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4.2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4.2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4.2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4.2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4.2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4.2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4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4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4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4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4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4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4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4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4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4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4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4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4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4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4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4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4.2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4.2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4.2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4.2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4.2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4.2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4.2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4.2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4.2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4.2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4.2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4.2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4.2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4.2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4.2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4.2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4.2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4.2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4.2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4.2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4.2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4.2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4.2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4.2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4.2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4.2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4.2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4.2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4.2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4.2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4.2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4.2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4.2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4.2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4.2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4.2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4.2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4.2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4.2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4.2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4.2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4.2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4.2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4.2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4.2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4.2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4.2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4.2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4.2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4.2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4.2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4.2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4.2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4.2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4.2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4.2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4.2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4.2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4.2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4.2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4.2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4.2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4.2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4.2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4.2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4.2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4.2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4.2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4.2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4.2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4.2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4.2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4.2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4.2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4.2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4.2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4.2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4.2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4.2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4.2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4.2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4.2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4.2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4.2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4.2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4.2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4.2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4.2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4.2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4.2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4.2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4.2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4.2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4.2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4.2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4.2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4.2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4.2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4.2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4.2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:F1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8.0"/>
    <col customWidth="1" min="2" max="2" width="38.0"/>
    <col customWidth="1" min="3" max="4" width="48.0"/>
    <col customWidth="1" min="5" max="26" width="8.63"/>
  </cols>
  <sheetData>
    <row r="1" ht="14.25" customHeight="1">
      <c r="A1" s="24" t="s">
        <v>213</v>
      </c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4.2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4.25" customHeight="1">
      <c r="A3" s="6" t="s">
        <v>214</v>
      </c>
      <c r="B3" s="6" t="s">
        <v>215</v>
      </c>
      <c r="C3" s="6" t="s">
        <v>216</v>
      </c>
      <c r="D3" s="6" t="s">
        <v>39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4.25" customHeight="1">
      <c r="A4" s="12" t="s">
        <v>217</v>
      </c>
      <c r="B4" s="12" t="s">
        <v>218</v>
      </c>
      <c r="C4" s="12" t="s">
        <v>219</v>
      </c>
      <c r="D4" s="12" t="s">
        <v>220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4.25" customHeight="1">
      <c r="A5" s="12" t="s">
        <v>25</v>
      </c>
      <c r="B5" s="12" t="s">
        <v>221</v>
      </c>
      <c r="C5" s="12" t="s">
        <v>222</v>
      </c>
      <c r="D5" s="12" t="s">
        <v>223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>
      <c r="A6" s="12" t="s">
        <v>31</v>
      </c>
      <c r="B6" s="12" t="s">
        <v>224</v>
      </c>
      <c r="C6" s="12" t="s">
        <v>225</v>
      </c>
      <c r="D6" s="12" t="s">
        <v>226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4.25" customHeight="1">
      <c r="A7" s="12" t="s">
        <v>227</v>
      </c>
      <c r="B7" s="12" t="s">
        <v>228</v>
      </c>
      <c r="C7" s="12" t="s">
        <v>229</v>
      </c>
      <c r="D7" s="12" t="s">
        <v>230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4.25" customHeight="1">
      <c r="A8" s="12" t="s">
        <v>6</v>
      </c>
      <c r="B8" s="12" t="s">
        <v>231</v>
      </c>
      <c r="C8" s="12" t="s">
        <v>232</v>
      </c>
      <c r="D8" s="12" t="s">
        <v>233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4.25" customHeight="1">
      <c r="A9" s="12" t="s">
        <v>234</v>
      </c>
      <c r="B9" s="12" t="s">
        <v>235</v>
      </c>
      <c r="C9" s="12" t="s">
        <v>236</v>
      </c>
      <c r="D9" s="12" t="s">
        <v>237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4.25" customHeight="1">
      <c r="A10" s="12" t="s">
        <v>238</v>
      </c>
      <c r="B10" s="12" t="s">
        <v>239</v>
      </c>
      <c r="C10" s="12" t="s">
        <v>240</v>
      </c>
      <c r="D10" s="12" t="s">
        <v>241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4.2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4.2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4.2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4.2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4.2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4.2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4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4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4.2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4.2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4.2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4.2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4.2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4.2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4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4.2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4.2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4.2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4.2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4.2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4.2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4.2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4.2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4.2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4.2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4.2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4.2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4.2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4.2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4.2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4.2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4.2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4.2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4.2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4.2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4.2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4.2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4.2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4.2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4.2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4.2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4.2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4.2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4.2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4.2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4.2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4.2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4.2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4.2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4.2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4.2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4.2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4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4.2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4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4.2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4.2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4.2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4.2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4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4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4.2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4.2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4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4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4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4.2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4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4.2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4.2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4.2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4.2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4.2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4.2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4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4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4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4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4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4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4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4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4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4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4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4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4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4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4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4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4.2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4.2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4.2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4.2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4.2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4.2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4.2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4.2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4.2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4.2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4.2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4.2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4.2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4.2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4.2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4.2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4.2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4.2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4.2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4.2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4.2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4.2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4.2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4.2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4.2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4.2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4.2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4.2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4.2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4.2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4.2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4.2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4.2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4.2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4.2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4.2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4.2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4.2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4.2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4.2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4.2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4.2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4.2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4.2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4.2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4.2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4.2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4.2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4.2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4.2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4.2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4.2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4.2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4.2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4.2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4.2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4.2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4.2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4.2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4.2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4.2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4.2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4.2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4.2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4.2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4.2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4.2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4.2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4.2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4.2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4.2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4.2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4.2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4.2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4.2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4.2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4.2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4.2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4.2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4.2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4.2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4.2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4.2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4.2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4.2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4.2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4.2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4.2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4.2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4.2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4.2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4.2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4.2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4.2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4.2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4.2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4.2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4.2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4.2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4.2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:D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